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7cce5c52d90ffa/Documenti/Roma Capitale/Analisi rendiconto e SIOPE/Regolamenti e normative/Rottamazione quinques EE LL/Rendiconto Comune di Bologna/"/>
    </mc:Choice>
  </mc:AlternateContent>
  <xr:revisionPtr revIDLastSave="36" documentId="8_{73F21B55-4E17-40EB-83D7-4C7BAD3E8FBA}" xr6:coauthVersionLast="47" xr6:coauthVersionMax="47" xr10:uidLastSave="{74C5C0EF-618C-4D62-A181-6A4024364F3E}"/>
  <bookViews>
    <workbookView xWindow="-108" yWindow="-108" windowWidth="23256" windowHeight="12456" xr2:uid="{66A5FCBC-82ED-4149-A878-3BAEE433C39E}"/>
  </bookViews>
  <sheets>
    <sheet name="Foglio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K13" i="1"/>
  <c r="K9" i="1"/>
  <c r="K5" i="1"/>
  <c r="E17" i="1"/>
  <c r="E9" i="1"/>
  <c r="G9" i="1" s="1"/>
  <c r="G5" i="1"/>
  <c r="E5" i="1"/>
  <c r="B9" i="1"/>
  <c r="B5" i="1"/>
  <c r="D5" i="1" s="1"/>
  <c r="D6" i="1" s="1"/>
  <c r="H17" i="1"/>
  <c r="J13" i="1"/>
  <c r="J9" i="1"/>
  <c r="H9" i="1"/>
  <c r="H5" i="1"/>
  <c r="I17" i="1"/>
  <c r="I5" i="1"/>
  <c r="I13" i="1"/>
  <c r="I9" i="1"/>
  <c r="H4" i="1"/>
  <c r="L22" i="1" s="1"/>
  <c r="F17" i="1"/>
  <c r="C17" i="1"/>
  <c r="D17" i="1" s="1"/>
  <c r="F13" i="1"/>
  <c r="G13" i="1" s="1"/>
  <c r="C13" i="1"/>
  <c r="D13" i="1" s="1"/>
  <c r="F9" i="1"/>
  <c r="C9" i="1"/>
  <c r="F5" i="1"/>
  <c r="C5" i="1"/>
  <c r="I16" i="1"/>
  <c r="H16" i="1"/>
  <c r="L25" i="1" s="1"/>
  <c r="I12" i="1"/>
  <c r="H12" i="1"/>
  <c r="L24" i="1" s="1"/>
  <c r="I8" i="1"/>
  <c r="H8" i="1"/>
  <c r="L23" i="1" s="1"/>
  <c r="I4" i="1"/>
  <c r="G17" i="1"/>
  <c r="D4" i="1"/>
  <c r="B12" i="1"/>
  <c r="F16" i="1"/>
  <c r="E16" i="1"/>
  <c r="B16" i="1"/>
  <c r="C16" i="1"/>
  <c r="D16" i="1" s="1"/>
  <c r="F12" i="1"/>
  <c r="E12" i="1"/>
  <c r="C12" i="1"/>
  <c r="D12" i="1" s="1"/>
  <c r="F8" i="1"/>
  <c r="E8" i="1"/>
  <c r="C8" i="1"/>
  <c r="B8" i="1"/>
  <c r="F4" i="1"/>
  <c r="E4" i="1"/>
  <c r="J16" i="1" l="1"/>
  <c r="G4" i="1"/>
  <c r="G6" i="1" s="1"/>
  <c r="J12" i="1"/>
  <c r="J14" i="1" s="1"/>
  <c r="G8" i="1"/>
  <c r="G10" i="1" s="1"/>
  <c r="D9" i="1"/>
  <c r="G16" i="1"/>
  <c r="G12" i="1"/>
  <c r="D8" i="1"/>
  <c r="J17" i="1"/>
  <c r="J8" i="1"/>
  <c r="J10" i="1" s="1"/>
  <c r="J5" i="1"/>
  <c r="J4" i="1"/>
  <c r="D18" i="1"/>
  <c r="D14" i="1"/>
  <c r="L26" i="1" l="1"/>
  <c r="J18" i="1"/>
  <c r="K4" i="1"/>
  <c r="K8" i="1"/>
  <c r="D10" i="1"/>
  <c r="G18" i="1"/>
  <c r="K16" i="1"/>
  <c r="G14" i="1"/>
  <c r="K12" i="1"/>
  <c r="J6" i="1"/>
</calcChain>
</file>

<file path=xl/sharedStrings.xml><?xml version="1.0" encoding="utf-8"?>
<sst xmlns="http://schemas.openxmlformats.org/spreadsheetml/2006/main" count="25" uniqueCount="20">
  <si>
    <t>Voce</t>
  </si>
  <si>
    <t>IMU Roma</t>
  </si>
  <si>
    <t>Accertato</t>
  </si>
  <si>
    <t>Incassato</t>
  </si>
  <si>
    <t>Riscosso</t>
  </si>
  <si>
    <t>Ta.Ri Roma</t>
  </si>
  <si>
    <t>Sanzioni Codice della strada Roma</t>
  </si>
  <si>
    <t>Contributo di soggiorno  Roma</t>
  </si>
  <si>
    <t>scost % inassato vs accertato RM vs MI</t>
  </si>
  <si>
    <t>IMU Bologna</t>
  </si>
  <si>
    <t>IMU scostamento incasso Roma/Bologna</t>
  </si>
  <si>
    <t>Ta.Ri Bologna</t>
  </si>
  <si>
    <t xml:space="preserve">Ta.Ri. Scostamento incasso Roma/Bologna </t>
  </si>
  <si>
    <t>Sanzioni Codice della strada Bologna</t>
  </si>
  <si>
    <t>Sanzioni Codice della strada Scostamento incasso Roma/Bologna</t>
  </si>
  <si>
    <t>Contributo di soggiorno Bologna</t>
  </si>
  <si>
    <t>Contributo di soggiorno  Scostamento incasso Roma/Bologna</t>
  </si>
  <si>
    <t>media scostamenti I/A (*) nel triennio</t>
  </si>
  <si>
    <t>* Incassato su Accertato</t>
  </si>
  <si>
    <r>
      <rPr>
        <b/>
        <sz val="11"/>
        <color theme="1"/>
        <rFont val="Calibri"/>
        <family val="2"/>
        <scheme val="minor"/>
      </rPr>
      <t>Fonte dati:</t>
    </r>
    <r>
      <rPr>
        <sz val="11"/>
        <color theme="1"/>
        <rFont val="Calibri"/>
        <family val="2"/>
        <scheme val="minor"/>
      </rPr>
      <t xml:space="preserve"> Rendiconto annuale 2025 deliberati da Roma Capitale e dal Comune di Boogna per quanto riguarda l'Accertato; SIOPE, la piattaforma del MEF per quanto riguarda  l'incassato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</si>
</sst>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5" xfId="0" applyBorder="1"/>
    <xf numFmtId="44" fontId="0" fillId="2" borderId="1" xfId="1" applyFont="1" applyFill="1" applyBorder="1"/>
    <xf numFmtId="44" fontId="0" fillId="2" borderId="2" xfId="1" applyFont="1" applyFill="1" applyBorder="1"/>
    <xf numFmtId="0" fontId="0" fillId="2" borderId="7" xfId="0" applyFill="1" applyBorder="1"/>
    <xf numFmtId="0" fontId="3" fillId="3" borderId="2" xfId="0" applyFont="1" applyFill="1" applyBorder="1"/>
    <xf numFmtId="0" fontId="0" fillId="3" borderId="4" xfId="0" applyFill="1" applyBorder="1"/>
    <xf numFmtId="0" fontId="0" fillId="3" borderId="2" xfId="0" applyFill="1" applyBorder="1"/>
    <xf numFmtId="0" fontId="2" fillId="3" borderId="1" xfId="0" applyFont="1" applyFill="1" applyBorder="1" applyAlignment="1">
      <alignment horizontal="center"/>
    </xf>
    <xf numFmtId="0" fontId="0" fillId="2" borderId="5" xfId="0" applyFill="1" applyBorder="1"/>
    <xf numFmtId="44" fontId="0" fillId="2" borderId="5" xfId="0" applyNumberFormat="1" applyFill="1" applyBorder="1"/>
    <xf numFmtId="44" fontId="0" fillId="2" borderId="5" xfId="1" applyFont="1" applyFill="1" applyBorder="1"/>
    <xf numFmtId="0" fontId="0" fillId="4" borderId="5" xfId="0" applyFill="1" applyBorder="1"/>
    <xf numFmtId="0" fontId="0" fillId="5" borderId="5" xfId="0" applyFill="1" applyBorder="1"/>
    <xf numFmtId="0" fontId="0" fillId="0" borderId="5" xfId="0" applyBorder="1" applyAlignment="1">
      <alignment horizontal="center"/>
    </xf>
    <xf numFmtId="44" fontId="0" fillId="4" borderId="5" xfId="1" applyFont="1" applyFill="1" applyBorder="1"/>
    <xf numFmtId="44" fontId="0" fillId="2" borderId="4" xfId="1" applyFont="1" applyFill="1" applyBorder="1"/>
    <xf numFmtId="10" fontId="0" fillId="2" borderId="5" xfId="2" applyNumberFormat="1" applyFont="1" applyFill="1" applyBorder="1" applyAlignment="1">
      <alignment horizontal="center"/>
    </xf>
    <xf numFmtId="10" fontId="0" fillId="4" borderId="5" xfId="2" applyNumberFormat="1" applyFont="1" applyFill="1" applyBorder="1" applyAlignment="1">
      <alignment horizontal="center"/>
    </xf>
    <xf numFmtId="10" fontId="0" fillId="5" borderId="5" xfId="0" applyNumberFormat="1" applyFill="1" applyBorder="1" applyAlignment="1">
      <alignment horizontal="center"/>
    </xf>
    <xf numFmtId="0" fontId="0" fillId="6" borderId="0" xfId="0" applyFill="1"/>
    <xf numFmtId="0" fontId="2" fillId="3" borderId="6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3" borderId="3" xfId="0" applyFill="1" applyBorder="1"/>
    <xf numFmtId="44" fontId="0" fillId="4" borderId="5" xfId="1" quotePrefix="1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10" fontId="5" fillId="2" borderId="5" xfId="2" applyNumberFormat="1" applyFont="1" applyFill="1" applyBorder="1" applyAlignment="1">
      <alignment horizontal="center"/>
    </xf>
    <xf numFmtId="10" fontId="5" fillId="4" borderId="5" xfId="2" applyNumberFormat="1" applyFont="1" applyFill="1" applyBorder="1" applyAlignment="1">
      <alignment horizontal="center"/>
    </xf>
    <xf numFmtId="0" fontId="2" fillId="0" borderId="1" xfId="0" applyFont="1" applyBorder="1"/>
    <xf numFmtId="44" fontId="0" fillId="0" borderId="0" xfId="0" applyNumberFormat="1"/>
    <xf numFmtId="44" fontId="0" fillId="6" borderId="0" xfId="0" applyNumberFormat="1" applyFill="1" applyBorder="1"/>
    <xf numFmtId="10" fontId="0" fillId="6" borderId="0" xfId="2" applyNumberFormat="1" applyFont="1" applyFill="1" applyBorder="1" applyAlignment="1">
      <alignment horizontal="center"/>
    </xf>
    <xf numFmtId="44" fontId="0" fillId="6" borderId="0" xfId="1" applyFont="1" applyFill="1" applyBorder="1"/>
    <xf numFmtId="0" fontId="0" fillId="6" borderId="0" xfId="0" applyFill="1" applyBorder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nalisi%20e%20valutazioni/Raffronto%20accertamenti%20riscossioni%202019%202024-gm-bis.xlsx" TargetMode="External"/><Relationship Id="rId2" Type="http://schemas.openxmlformats.org/officeDocument/2006/relationships/externalLinkPath" Target="https://d.docs.live.net/117cce5c52d90ffa/Documenti/Roma%20Capitale/Analisi%20rendiconto%20e%20SIOPE/Analisi%20e%20valutazioni/Raffronto%20accertamenti%20riscossioni%202019%202024-gm-bis.xlsx" TargetMode="External"/><Relationship Id="rId1" Type="http://schemas.openxmlformats.org/officeDocument/2006/relationships/externalLinkPath" Target="/117cce5c52d90ffa/Documenti/Roma%20Capitale/Analisi%20rendiconto%20e%20SIOPE/Analisi%20e%20valutazioni/Raffronto%20accertamenti%20riscossioni%202019%202024-gm-b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verview"/>
      <sheetName val="IMUTASI"/>
      <sheetName val="CdS"/>
      <sheetName val="TARI"/>
      <sheetName val="Contributo di soggiorno"/>
    </sheetNames>
    <sheetDataSet>
      <sheetData sheetId="0">
        <row r="3">
          <cell r="J3">
            <v>1396174422.77</v>
          </cell>
          <cell r="K3">
            <v>1204124913.8</v>
          </cell>
          <cell r="L3">
            <v>1364631824.25</v>
          </cell>
          <cell r="M3">
            <v>1200701399.72</v>
          </cell>
        </row>
        <row r="4">
          <cell r="H4">
            <v>808968635.75999999</v>
          </cell>
          <cell r="I4">
            <v>724243151.32999992</v>
          </cell>
          <cell r="J4">
            <v>848245823.99000001</v>
          </cell>
          <cell r="K4">
            <v>826094116.09000003</v>
          </cell>
          <cell r="L4">
            <v>880221875.46000004</v>
          </cell>
          <cell r="M4">
            <v>774274600.79999995</v>
          </cell>
        </row>
        <row r="5">
          <cell r="I5">
            <v>172634305.39999998</v>
          </cell>
          <cell r="J5">
            <v>245566510.21000001</v>
          </cell>
          <cell r="K5">
            <v>168906662.66</v>
          </cell>
          <cell r="L5">
            <v>248522564.09999999</v>
          </cell>
          <cell r="M5">
            <v>154739199.16</v>
          </cell>
        </row>
        <row r="6">
          <cell r="I6">
            <v>162385956.30000001</v>
          </cell>
          <cell r="L6">
            <v>288476265.17000002</v>
          </cell>
          <cell r="M6">
            <v>260471373.13000003</v>
          </cell>
        </row>
      </sheetData>
      <sheetData sheetId="1"/>
      <sheetData sheetId="2">
        <row r="5">
          <cell r="F5">
            <v>265449024.19999999</v>
          </cell>
        </row>
      </sheetData>
      <sheetData sheetId="3"/>
      <sheetData sheetId="4">
        <row r="4">
          <cell r="F4">
            <v>213155477.06999999</v>
          </cell>
          <cell r="G4">
            <v>290857063.12</v>
          </cell>
        </row>
        <row r="7">
          <cell r="G7">
            <v>249318493.46999997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1B14E-E309-47B4-948F-FD1D27650A25}">
  <dimension ref="A1:L26"/>
  <sheetViews>
    <sheetView tabSelected="1" topLeftCell="A3" zoomScale="88" zoomScaleNormal="88" workbookViewId="0">
      <selection activeCell="A22" sqref="A22:G22"/>
    </sheetView>
  </sheetViews>
  <sheetFormatPr defaultRowHeight="14.4" x14ac:dyDescent="0.3"/>
  <cols>
    <col min="1" max="1" width="53.33203125" customWidth="1"/>
    <col min="2" max="2" width="20" customWidth="1"/>
    <col min="3" max="3" width="19.6640625" customWidth="1"/>
    <col min="4" max="4" width="12.88671875" customWidth="1"/>
    <col min="5" max="5" width="21" customWidth="1"/>
    <col min="6" max="6" width="18.109375" customWidth="1"/>
    <col min="7" max="7" width="13.88671875" customWidth="1"/>
    <col min="8" max="8" width="19.44140625" customWidth="1"/>
    <col min="9" max="9" width="29.77734375" customWidth="1"/>
    <col min="10" max="10" width="20.21875" customWidth="1"/>
    <col min="11" max="11" width="13.109375" customWidth="1"/>
    <col min="12" max="12" width="22.109375" customWidth="1"/>
  </cols>
  <sheetData>
    <row r="1" spans="1:11" ht="15" thickBot="1" x14ac:dyDescent="0.35"/>
    <row r="2" spans="1:11" ht="21.6" thickBot="1" x14ac:dyDescent="0.45">
      <c r="B2" s="5"/>
      <c r="C2" s="24">
        <v>2023</v>
      </c>
      <c r="D2" s="6"/>
      <c r="E2" s="7"/>
      <c r="F2" s="24">
        <v>2024</v>
      </c>
      <c r="G2" s="25"/>
      <c r="H2" s="7"/>
      <c r="I2" s="24">
        <v>2025</v>
      </c>
      <c r="J2" s="26"/>
    </row>
    <row r="3" spans="1:11" ht="58.2" thickBot="1" x14ac:dyDescent="0.35">
      <c r="A3" s="8" t="s">
        <v>0</v>
      </c>
      <c r="B3" s="22" t="s">
        <v>2</v>
      </c>
      <c r="C3" s="22" t="s">
        <v>3</v>
      </c>
      <c r="D3" s="21" t="s">
        <v>8</v>
      </c>
      <c r="E3" s="23" t="s">
        <v>2</v>
      </c>
      <c r="F3" s="23" t="s">
        <v>4</v>
      </c>
      <c r="G3" s="21" t="s">
        <v>8</v>
      </c>
      <c r="H3" s="23" t="s">
        <v>2</v>
      </c>
      <c r="I3" s="23" t="s">
        <v>4</v>
      </c>
      <c r="J3" s="21" t="s">
        <v>8</v>
      </c>
      <c r="K3" s="28" t="s">
        <v>17</v>
      </c>
    </row>
    <row r="4" spans="1:11" ht="16.2" thickBot="1" x14ac:dyDescent="0.35">
      <c r="A4" s="4" t="s">
        <v>1</v>
      </c>
      <c r="B4" s="2">
        <v>1447827349.25</v>
      </c>
      <c r="C4" s="3">
        <v>1275020112.3</v>
      </c>
      <c r="D4" s="17">
        <f>(C4-B4)/B4</f>
        <v>-0.11935624578408277</v>
      </c>
      <c r="E4" s="16">
        <f>[1]Overview!$J$3</f>
        <v>1396174422.77</v>
      </c>
      <c r="F4" s="3">
        <f>[1]Overview!$K$3</f>
        <v>1204124913.8</v>
      </c>
      <c r="G4" s="17">
        <f>(F4-E4)/E4</f>
        <v>-0.13755409484509479</v>
      </c>
      <c r="H4" s="16">
        <f>[1]Overview!$L$3</f>
        <v>1364631824.25</v>
      </c>
      <c r="I4" s="3">
        <f>[1]Overview!$M$3</f>
        <v>1200701399.72</v>
      </c>
      <c r="J4" s="17">
        <f>(I4-H4)/H4</f>
        <v>-0.12012795071674071</v>
      </c>
      <c r="K4" s="30">
        <f>(D4+G4+J4)/3</f>
        <v>-0.12567943044863941</v>
      </c>
    </row>
    <row r="5" spans="1:11" ht="15.6" x14ac:dyDescent="0.3">
      <c r="A5" s="12" t="s">
        <v>9</v>
      </c>
      <c r="B5" s="15">
        <f>147738000+18170000</f>
        <v>165908000</v>
      </c>
      <c r="C5" s="15">
        <f>147456938.95+17281224.15</f>
        <v>164738163.09999999</v>
      </c>
      <c r="D5" s="18">
        <f>(C5-B5)/B5</f>
        <v>-7.0511180895436384E-3</v>
      </c>
      <c r="E5" s="15">
        <f>149387790+17000000</f>
        <v>166387790</v>
      </c>
      <c r="F5" s="15">
        <f>150962553.64+14463127.32</f>
        <v>165425680.95999998</v>
      </c>
      <c r="G5" s="18">
        <f>(F5-E5)/E5</f>
        <v>-5.782329580794489E-3</v>
      </c>
      <c r="H5" s="15">
        <f>146992889.84+12000000</f>
        <v>158992889.84</v>
      </c>
      <c r="I5" s="15">
        <f>149029825.22+9788412.12</f>
        <v>158818237.34</v>
      </c>
      <c r="J5" s="18">
        <f>(I5-H5)/H5</f>
        <v>-1.0984925186010444E-3</v>
      </c>
      <c r="K5" s="31">
        <f>(D5+G5+J5)/3</f>
        <v>-4.6439800629797237E-3</v>
      </c>
    </row>
    <row r="6" spans="1:11" ht="15.6" x14ac:dyDescent="0.3">
      <c r="A6" s="13" t="s">
        <v>10</v>
      </c>
      <c r="B6" s="13"/>
      <c r="C6" s="13"/>
      <c r="D6" s="19">
        <f>D4-D5</f>
        <v>-0.11230512769453913</v>
      </c>
      <c r="E6" s="13"/>
      <c r="F6" s="13"/>
      <c r="G6" s="19">
        <f>G4-G5</f>
        <v>-0.13177176526430029</v>
      </c>
      <c r="H6" s="13"/>
      <c r="I6" s="13"/>
      <c r="J6" s="19">
        <f>J4-J5</f>
        <v>-0.11902945819813966</v>
      </c>
      <c r="K6" s="29"/>
    </row>
    <row r="7" spans="1:11" ht="15.6" x14ac:dyDescent="0.3">
      <c r="A7" s="1"/>
      <c r="B7" s="1"/>
      <c r="C7" s="1"/>
      <c r="D7" s="14"/>
      <c r="E7" s="1"/>
      <c r="F7" s="1"/>
      <c r="G7" s="1"/>
      <c r="H7" s="1"/>
      <c r="I7" s="1"/>
      <c r="J7" s="1"/>
      <c r="K7" s="29"/>
    </row>
    <row r="8" spans="1:11" ht="15.6" x14ac:dyDescent="0.3">
      <c r="A8" s="9" t="s">
        <v>5</v>
      </c>
      <c r="B8" s="10">
        <f>[1]Overview!$H$4</f>
        <v>808968635.75999999</v>
      </c>
      <c r="C8" s="10">
        <f>[1]Overview!$I$4</f>
        <v>724243151.32999992</v>
      </c>
      <c r="D8" s="17">
        <f>(C8-B8)/B8</f>
        <v>-0.10473271853166866</v>
      </c>
      <c r="E8" s="10">
        <f>[1]Overview!$J$4</f>
        <v>848245823.99000001</v>
      </c>
      <c r="F8" s="10">
        <f>[1]Overview!$K$4</f>
        <v>826094116.09000003</v>
      </c>
      <c r="G8" s="17">
        <f>(F8-E8)/E8</f>
        <v>-2.611472673782491E-2</v>
      </c>
      <c r="H8" s="10">
        <f>[1]Overview!$L$4</f>
        <v>880221875.46000004</v>
      </c>
      <c r="I8" s="10">
        <f>[1]Overview!$M$4</f>
        <v>774274600.79999995</v>
      </c>
      <c r="J8" s="17">
        <f>(I8-H8)/H8</f>
        <v>-0.12036428270387226</v>
      </c>
      <c r="K8" s="30">
        <f>(D8+G8+J8)/3</f>
        <v>-8.3737242657788605E-2</v>
      </c>
    </row>
    <row r="9" spans="1:11" ht="15.6" x14ac:dyDescent="0.3">
      <c r="A9" s="12" t="s">
        <v>11</v>
      </c>
      <c r="B9" s="15">
        <f>97700000+12273000</f>
        <v>109973000</v>
      </c>
      <c r="C9" s="15">
        <f>91484131.44+11836770.64</f>
        <v>103320902.08</v>
      </c>
      <c r="D9" s="18">
        <f>(C9-B9)/B9</f>
        <v>-6.0488464623134786E-2</v>
      </c>
      <c r="E9" s="15">
        <f>98040000+12041</f>
        <v>98052041</v>
      </c>
      <c r="F9" s="15">
        <f>88922542.18+11108903.82</f>
        <v>100031446</v>
      </c>
      <c r="G9" s="18">
        <f>(F9-E9)/E9</f>
        <v>2.0187290135041655E-2</v>
      </c>
      <c r="H9" s="15">
        <f>96960000+8000</f>
        <v>96968000</v>
      </c>
      <c r="I9" s="15">
        <f>89491310.97+8088726.48</f>
        <v>97580037.450000003</v>
      </c>
      <c r="J9" s="18">
        <f>(I9-H9)/H9</f>
        <v>6.3117466586915579E-3</v>
      </c>
      <c r="K9" s="31">
        <f>(D9+G9+J9)/3</f>
        <v>-1.1329809276467191E-2</v>
      </c>
    </row>
    <row r="10" spans="1:11" ht="15.6" x14ac:dyDescent="0.3">
      <c r="A10" s="13" t="s">
        <v>12</v>
      </c>
      <c r="B10" s="13"/>
      <c r="C10" s="13"/>
      <c r="D10" s="19">
        <f>D8-D9</f>
        <v>-4.424425390853387E-2</v>
      </c>
      <c r="E10" s="13"/>
      <c r="F10" s="13"/>
      <c r="G10" s="19">
        <f>G8-G9</f>
        <v>-4.6302016872866565E-2</v>
      </c>
      <c r="H10" s="13"/>
      <c r="I10" s="13"/>
      <c r="J10" s="19">
        <f>J8-J9</f>
        <v>-0.12667602936256381</v>
      </c>
      <c r="K10" s="29"/>
    </row>
    <row r="11" spans="1:11" ht="15.6" x14ac:dyDescent="0.3">
      <c r="A11" s="1"/>
      <c r="B11" s="1"/>
      <c r="C11" s="1"/>
      <c r="D11" s="14"/>
      <c r="E11" s="1"/>
      <c r="F11" s="1"/>
      <c r="G11" s="1"/>
      <c r="H11" s="1"/>
      <c r="I11" s="1"/>
      <c r="J11" s="1"/>
      <c r="K11" s="29"/>
    </row>
    <row r="12" spans="1:11" ht="15.6" x14ac:dyDescent="0.3">
      <c r="A12" s="9" t="s">
        <v>6</v>
      </c>
      <c r="B12" s="10">
        <f>[1]CdS!$F$5</f>
        <v>265449024.19999999</v>
      </c>
      <c r="C12" s="10">
        <f>[1]Overview!$I$5</f>
        <v>172634305.39999998</v>
      </c>
      <c r="D12" s="17">
        <f>(C12-B12)/B12</f>
        <v>-0.34965176112333213</v>
      </c>
      <c r="E12" s="10">
        <f>[1]Overview!$J$5</f>
        <v>245566510.21000001</v>
      </c>
      <c r="F12" s="10">
        <f>[1]Overview!$K$5</f>
        <v>168906662.66</v>
      </c>
      <c r="G12" s="17">
        <f>(F12-E12)/E12</f>
        <v>-0.31217549772745135</v>
      </c>
      <c r="H12" s="10">
        <f>[1]Overview!$L$5</f>
        <v>248522564.09999999</v>
      </c>
      <c r="I12" s="10">
        <f>[1]Overview!$M$5</f>
        <v>154739199.16</v>
      </c>
      <c r="J12" s="17">
        <f>(I12-H12)/H12</f>
        <v>-0.37736358177225165</v>
      </c>
      <c r="K12" s="30">
        <f>(D12+G12+J12)/3</f>
        <v>-0.34639694687434502</v>
      </c>
    </row>
    <row r="13" spans="1:11" ht="15.6" x14ac:dyDescent="0.3">
      <c r="A13" s="12" t="s">
        <v>13</v>
      </c>
      <c r="B13" s="15">
        <v>57934643</v>
      </c>
      <c r="C13" s="15">
        <f>27683261.31+13130018.38</f>
        <v>40813279.689999998</v>
      </c>
      <c r="D13" s="18">
        <f>(C13-B13)/B13</f>
        <v>-0.29552893438904942</v>
      </c>
      <c r="E13" s="15">
        <v>62255306.219999999</v>
      </c>
      <c r="F13" s="15">
        <f>31610541.47+11108903.82</f>
        <v>42719445.289999999</v>
      </c>
      <c r="G13" s="18">
        <f>(F13-E13)/E13</f>
        <v>-0.31380234258206818</v>
      </c>
      <c r="H13" s="27">
        <v>64303559.549999997</v>
      </c>
      <c r="I13" s="27">
        <f>27211636.87+16842329.14</f>
        <v>44053966.010000005</v>
      </c>
      <c r="J13" s="18">
        <f>(I13-H13)/H13</f>
        <v>-0.31490626151503603</v>
      </c>
      <c r="K13" s="31">
        <f>(D13+G13+J13)/3</f>
        <v>-0.30807917949538455</v>
      </c>
    </row>
    <row r="14" spans="1:11" ht="15.6" x14ac:dyDescent="0.3">
      <c r="A14" s="13" t="s">
        <v>14</v>
      </c>
      <c r="B14" s="13"/>
      <c r="C14" s="13"/>
      <c r="D14" s="19">
        <f>D12-D13</f>
        <v>-5.4122826734282703E-2</v>
      </c>
      <c r="E14" s="13"/>
      <c r="F14" s="13"/>
      <c r="G14" s="19">
        <f>G12-G13</f>
        <v>1.6268448546168379E-3</v>
      </c>
      <c r="H14" s="13"/>
      <c r="I14" s="13"/>
      <c r="J14" s="19">
        <f>J12-J13</f>
        <v>-6.2457320257215621E-2</v>
      </c>
      <c r="K14" s="29"/>
    </row>
    <row r="15" spans="1:11" ht="15.6" x14ac:dyDescent="0.3">
      <c r="A15" s="1"/>
      <c r="B15" s="1"/>
      <c r="C15" s="1"/>
      <c r="D15" s="14"/>
      <c r="E15" s="1"/>
      <c r="F15" s="1"/>
      <c r="G15" s="1"/>
      <c r="H15" s="1"/>
      <c r="I15" s="1"/>
      <c r="J15" s="1"/>
      <c r="K15" s="29"/>
    </row>
    <row r="16" spans="1:11" ht="15.6" x14ac:dyDescent="0.3">
      <c r="A16" s="9" t="s">
        <v>7</v>
      </c>
      <c r="B16" s="10">
        <f>'[1]Contributo di soggiorno'!$F$4</f>
        <v>213155477.06999999</v>
      </c>
      <c r="C16" s="10">
        <f>[1]Overview!$I$6</f>
        <v>162385956.30000001</v>
      </c>
      <c r="D16" s="17">
        <f>(C16-B16)/B16</f>
        <v>-0.23818070015309686</v>
      </c>
      <c r="E16" s="11">
        <f>'[1]Contributo di soggiorno'!$G$4</f>
        <v>290857063.12</v>
      </c>
      <c r="F16" s="10">
        <f>'[1]Contributo di soggiorno'!$G$7</f>
        <v>249318493.46999997</v>
      </c>
      <c r="G16" s="17">
        <f>(F16-E16)/E16</f>
        <v>-0.14281437488372875</v>
      </c>
      <c r="H16" s="11">
        <f>[1]Overview!$L$6</f>
        <v>288476265.17000002</v>
      </c>
      <c r="I16" s="10">
        <f>[1]Overview!$M$6</f>
        <v>260471373.13000003</v>
      </c>
      <c r="J16" s="17">
        <f>(I16-H16)/H16</f>
        <v>-9.7078669621213434E-2</v>
      </c>
      <c r="K16" s="30">
        <f>(D16+G16+J16)/3</f>
        <v>-0.159357914886013</v>
      </c>
    </row>
    <row r="17" spans="1:12" ht="15.6" x14ac:dyDescent="0.3">
      <c r="A17" s="12" t="s">
        <v>15</v>
      </c>
      <c r="B17" s="15">
        <v>12540000</v>
      </c>
      <c r="C17" s="15">
        <f>15312702.06+120295.95</f>
        <v>15432998.01</v>
      </c>
      <c r="D17" s="18">
        <f>(C17-B17)/B17</f>
        <v>0.23070159569377988</v>
      </c>
      <c r="E17" s="15">
        <f>14140000+35000</f>
        <v>14175000</v>
      </c>
      <c r="F17" s="15">
        <f>12592548.19+25235.04</f>
        <v>12617783.229999999</v>
      </c>
      <c r="G17" s="18">
        <f>(F17-E17)/E17</f>
        <v>-0.1098565622574957</v>
      </c>
      <c r="H17" s="15">
        <f>20600000+163817.26</f>
        <v>20763817.260000002</v>
      </c>
      <c r="I17" s="15">
        <f>21801646.41+199323.14</f>
        <v>22000969.550000001</v>
      </c>
      <c r="J17" s="18">
        <f>(I17-H17)/H17</f>
        <v>5.9582121847281129E-2</v>
      </c>
      <c r="K17" s="31">
        <f>(D17+G17+J17)/3</f>
        <v>6.0142385094521772E-2</v>
      </c>
    </row>
    <row r="18" spans="1:12" ht="15.6" x14ac:dyDescent="0.3">
      <c r="A18" s="13" t="s">
        <v>16</v>
      </c>
      <c r="B18" s="13"/>
      <c r="C18" s="13"/>
      <c r="D18" s="19">
        <f>D16-D17</f>
        <v>-0.46888229584687674</v>
      </c>
      <c r="E18" s="13"/>
      <c r="F18" s="13"/>
      <c r="G18" s="19">
        <f>G16-G17</f>
        <v>-3.2957812626233055E-2</v>
      </c>
      <c r="H18" s="13"/>
      <c r="I18" s="13"/>
      <c r="J18" s="19">
        <f>J16-J17</f>
        <v>-0.15666079146849457</v>
      </c>
      <c r="K18" s="29"/>
    </row>
    <row r="20" spans="1:12" ht="15" thickBot="1" x14ac:dyDescent="0.35"/>
    <row r="21" spans="1:12" ht="15" thickBot="1" x14ac:dyDescent="0.35">
      <c r="A21" s="32" t="s">
        <v>18</v>
      </c>
    </row>
    <row r="22" spans="1:12" x14ac:dyDescent="0.3">
      <c r="A22" t="s">
        <v>19</v>
      </c>
      <c r="B22" s="20"/>
      <c r="I22" s="34"/>
      <c r="J22" s="34"/>
      <c r="K22" s="35"/>
      <c r="L22" s="33">
        <f>J22-I4</f>
        <v>-1200701399.72</v>
      </c>
    </row>
    <row r="23" spans="1:12" x14ac:dyDescent="0.3">
      <c r="I23" s="34"/>
      <c r="J23" s="34"/>
      <c r="K23" s="35"/>
      <c r="L23" s="33">
        <f>J23-I8</f>
        <v>-774274600.79999995</v>
      </c>
    </row>
    <row r="24" spans="1:12" x14ac:dyDescent="0.3">
      <c r="I24" s="34"/>
      <c r="J24" s="34"/>
      <c r="K24" s="35"/>
      <c r="L24" s="33">
        <f>J24-I12</f>
        <v>-154739199.16</v>
      </c>
    </row>
    <row r="25" spans="1:12" x14ac:dyDescent="0.3">
      <c r="I25" s="36"/>
      <c r="J25" s="34"/>
      <c r="K25" s="35"/>
      <c r="L25" s="33">
        <f>J25-I16</f>
        <v>-260471373.13000003</v>
      </c>
    </row>
    <row r="26" spans="1:12" x14ac:dyDescent="0.3">
      <c r="I26" s="37"/>
      <c r="J26" s="37"/>
      <c r="K26" s="37"/>
      <c r="L26" s="33">
        <f>L22+L23+L25</f>
        <v>-2235447373.6500001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Masia</dc:creator>
  <cp:lastModifiedBy>Giovanni Masia</cp:lastModifiedBy>
  <dcterms:created xsi:type="dcterms:W3CDTF">2026-08-15T07:12:02Z</dcterms:created>
  <dcterms:modified xsi:type="dcterms:W3CDTF">2026-09-26T14:36:41Z</dcterms:modified>
</cp:coreProperties>
</file>